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_12 months" sheetId="1" r:id="rId4"/>
  </sheets>
  <definedNames/>
  <calcPr/>
  <extLst>
    <ext uri="GoogleSheetsCustomDataVersion1">
      <go:sheetsCustomData xmlns:go="http://customooxmlschemas.google.com/" r:id="rId5" roundtripDataSignature="AMtx7mhgntWEbNkPMXZ9/lJsVNEwI+8Rw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ID#AAAAilS_l7w
tc={9D8AC0A4-EC10-DB45-A118-C465FE22A083}    (2022-10-21 18:58:10)
[Threaded comment]
Your version of Excel allows you to read this threaded comment; however, any edits to it will get removed if the file is opened in a newer version of Excel. Learn more: https://go.microsoft.com/fwlink/?linkid=870924
Comment:
    As per our estimation, one employee with a salary of $1,500 can handle 5 devices.</t>
      </text>
    </comment>
  </commentList>
  <extLst>
    <ext uri="GoogleSheetsCustomDataVersion1">
      <go:sheetsCustomData xmlns:go="http://customooxmlschemas.google.com/" r:id="rId1" roundtripDataSignature="AMtx7mjc6K9mk1cIM/KeFyot2eb7RoUM0A=="/>
    </ext>
  </extLst>
</comments>
</file>

<file path=xl/sharedStrings.xml><?xml version="1.0" encoding="utf-8"?>
<sst xmlns="http://schemas.openxmlformats.org/spreadsheetml/2006/main" count="51" uniqueCount="51">
  <si>
    <t>ROI Calculation of Yaw Aviation with 6 Months of Operation</t>
  </si>
  <si>
    <t>Example calculation</t>
  </si>
  <si>
    <t>YOUR OWN BUSINESS CALCULATION</t>
  </si>
  <si>
    <t>Breakdown of Total Costs</t>
  </si>
  <si>
    <t>Breakdown of Variable Costs</t>
  </si>
  <si>
    <t>Business Type 1</t>
  </si>
  <si>
    <t>Business Type 2</t>
  </si>
  <si>
    <t>Business Type 3</t>
  </si>
  <si>
    <t>Business Type 4</t>
  </si>
  <si>
    <t>Daily variable costs</t>
  </si>
  <si>
    <t>Depreciation</t>
  </si>
  <si>
    <t>fixed costs</t>
  </si>
  <si>
    <t>Monthly usage (i.e. number of days operating)</t>
  </si>
  <si>
    <t>Business Characteristics:</t>
  </si>
  <si>
    <t>Running with low prices, low capacity</t>
  </si>
  <si>
    <t>Running with low prices, high  capacity</t>
  </si>
  <si>
    <t>Running with high prices, low capacity</t>
  </si>
  <si>
    <t>Running with high prices, high capacity</t>
  </si>
  <si>
    <t>Operating 20 Days</t>
  </si>
  <si>
    <t>PC</t>
  </si>
  <si>
    <t>Monthly rental fee (per sqft)</t>
  </si>
  <si>
    <t>Opening hours</t>
  </si>
  <si>
    <t>Headset</t>
  </si>
  <si>
    <t>Space needed (sqft per device)</t>
  </si>
  <si>
    <t>Number of devices</t>
  </si>
  <si>
    <t>Device</t>
  </si>
  <si>
    <t>Monthly cost of staff (per device)</t>
  </si>
  <si>
    <t>Operating days</t>
  </si>
  <si>
    <t>Peripheral</t>
  </si>
  <si>
    <t>Monthly utility costs (per device)</t>
  </si>
  <si>
    <t>Hourly fee charged</t>
  </si>
  <si>
    <t>Software</t>
  </si>
  <si>
    <t>Occupancy rate (as percent of running constantly when open)</t>
  </si>
  <si>
    <t>Total variable</t>
  </si>
  <si>
    <t>Total fix</t>
  </si>
  <si>
    <t>NUMBER OF DEVICES</t>
  </si>
  <si>
    <t>Daily total Income</t>
  </si>
  <si>
    <t>OPENING HOURS</t>
  </si>
  <si>
    <t>Monthly income</t>
  </si>
  <si>
    <t>HOURLY FEE (USD)</t>
  </si>
  <si>
    <t>Total income</t>
  </si>
  <si>
    <t>Time until Breakeven Point</t>
  </si>
  <si>
    <t>OCCUPANCY RATE (%)</t>
  </si>
  <si>
    <t>Total operating hours (daily)</t>
  </si>
  <si>
    <t>Operating days until breakeven</t>
  </si>
  <si>
    <t>OPERATING DAYS</t>
  </si>
  <si>
    <t>Total operating hours (monthly)</t>
  </si>
  <si>
    <t>Calendar days until breakeven</t>
  </si>
  <si>
    <t>PROFIT / month</t>
  </si>
  <si>
    <t>Weeks until breakeven</t>
  </si>
  <si>
    <t>ROI 1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</si>
</sst>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\ [$USD]_-;\-* #,##0.0\ [$USD]_-;_-* &quot;-&quot;??\ [$USD]_-;_-@"/>
    <numFmt numFmtId="165" formatCode="_-* #,##0\ [$USD]_-;\-* #,##0\ [$USD]_-;_-* &quot;-&quot;??\ [$USD]_-;_-@"/>
  </numFmts>
  <fonts count="16">
    <font>
      <sz val="11.0"/>
      <color theme="1"/>
      <name val="Calibri"/>
      <scheme val="minor"/>
    </font>
    <font>
      <b/>
      <sz val="24.0"/>
      <color theme="1"/>
      <name val="Calibri"/>
    </font>
    <font/>
    <font>
      <b/>
      <sz val="16.0"/>
      <color theme="1"/>
      <name val="Calibri"/>
    </font>
    <font>
      <b/>
      <sz val="13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3.0"/>
      <color theme="1"/>
      <name val="Calibri"/>
      <scheme val="minor"/>
    </font>
    <font>
      <sz val="11.0"/>
      <color rgb="FFBFBFBF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b/>
      <sz val="18.0"/>
      <color theme="1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21.0"/>
      <color theme="1"/>
      <name val="Calibri"/>
    </font>
    <font>
      <sz val="18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</border>
    <border>
      <left style="thin">
        <color rgb="FF000000"/>
      </left>
    </border>
    <border>
      <left style="medium">
        <color rgb="FFFF0000"/>
      </left>
      <right style="medium">
        <color rgb="FFFF0000"/>
      </right>
    </border>
    <border>
      <right style="thin">
        <color rgb="FF000000"/>
      </right>
    </border>
    <border>
      <left style="medium">
        <color rgb="FFFF0000"/>
      </left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</border>
    <border>
      <right style="medium">
        <color rgb="FFFF0000"/>
      </right>
    </border>
    <border>
      <left style="medium">
        <color rgb="FFFF0000"/>
      </left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FF0000"/>
      </left>
      <right style="medium">
        <color rgb="FFFF0000"/>
      </right>
      <bottom style="thin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7" fillId="2" fontId="4" numFmtId="0" xfId="0" applyAlignment="1" applyBorder="1" applyFill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/>
    </xf>
    <xf borderId="8" fillId="0" fontId="5" numFmtId="0" xfId="0" applyBorder="1" applyFont="1"/>
    <xf borderId="0" fillId="0" fontId="6" numFmtId="0" xfId="0" applyFont="1"/>
    <xf borderId="9" fillId="0" fontId="2" numFmtId="0" xfId="0" applyBorder="1" applyFont="1"/>
    <xf borderId="0" fillId="0" fontId="5" numFmtId="0" xfId="0" applyAlignment="1" applyFont="1">
      <alignment shrinkToFit="0" wrapText="1"/>
    </xf>
    <xf borderId="0" fillId="0" fontId="5" numFmtId="0" xfId="0" applyFont="1"/>
    <xf borderId="10" fillId="0" fontId="5" numFmtId="0" xfId="0" applyBorder="1" applyFont="1"/>
    <xf borderId="8" fillId="0" fontId="5" numFmtId="0" xfId="0" applyAlignment="1" applyBorder="1" applyFont="1">
      <alignment shrinkToFit="0" wrapText="1"/>
    </xf>
    <xf borderId="9" fillId="2" fontId="5" numFmtId="0" xfId="0" applyAlignment="1" applyBorder="1" applyFont="1">
      <alignment shrinkToFit="0" wrapText="1"/>
    </xf>
    <xf borderId="0" fillId="0" fontId="5" numFmtId="164" xfId="0" applyFont="1" applyNumberFormat="1"/>
    <xf borderId="10" fillId="0" fontId="5" numFmtId="165" xfId="0" applyBorder="1" applyFont="1" applyNumberFormat="1"/>
    <xf borderId="11" fillId="2" fontId="7" numFmtId="0" xfId="0" applyAlignment="1" applyBorder="1" applyFont="1">
      <alignment readingOrder="0"/>
    </xf>
    <xf borderId="12" fillId="3" fontId="7" numFmtId="0" xfId="0" applyAlignment="1" applyBorder="1" applyFill="1" applyFont="1">
      <alignment readingOrder="0"/>
    </xf>
    <xf borderId="8" fillId="0" fontId="5" numFmtId="0" xfId="0" applyAlignment="1" applyBorder="1" applyFont="1">
      <alignment readingOrder="0"/>
    </xf>
    <xf borderId="9" fillId="2" fontId="5" numFmtId="0" xfId="0" applyBorder="1" applyFont="1"/>
    <xf borderId="0" fillId="0" fontId="8" numFmtId="0" xfId="0" applyFont="1"/>
    <xf borderId="10" fillId="0" fontId="5" numFmtId="165" xfId="0" applyAlignment="1" applyBorder="1" applyFont="1" applyNumberFormat="1">
      <alignment readingOrder="0"/>
    </xf>
    <xf borderId="13" fillId="2" fontId="7" numFmtId="0" xfId="0" applyAlignment="1" applyBorder="1" applyFont="1">
      <alignment readingOrder="0"/>
    </xf>
    <xf borderId="14" fillId="3" fontId="7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9" fillId="2" fontId="5" numFmtId="3" xfId="0" applyBorder="1" applyFont="1" applyNumberFormat="1"/>
    <xf borderId="0" fillId="0" fontId="9" numFmtId="0" xfId="0" applyFont="1"/>
    <xf borderId="9" fillId="2" fontId="5" numFmtId="0" xfId="0" applyBorder="1" applyFont="1"/>
    <xf borderId="14" fillId="3" fontId="7" numFmtId="3" xfId="0" applyAlignment="1" applyBorder="1" applyFont="1" applyNumberFormat="1">
      <alignment readingOrder="0"/>
    </xf>
    <xf borderId="9" fillId="2" fontId="5" numFmtId="164" xfId="0" applyBorder="1" applyFont="1" applyNumberFormat="1"/>
    <xf borderId="15" fillId="2" fontId="7" numFmtId="0" xfId="0" applyAlignment="1" applyBorder="1" applyFont="1">
      <alignment readingOrder="0"/>
    </xf>
    <xf borderId="16" fillId="3" fontId="7" numFmtId="0" xfId="0" applyAlignment="1" applyBorder="1" applyFont="1">
      <alignment readingOrder="0"/>
    </xf>
    <xf borderId="8" fillId="0" fontId="5" numFmtId="0" xfId="0" applyAlignment="1" applyBorder="1" applyFont="1">
      <alignment readingOrder="0" shrinkToFit="0" wrapText="1"/>
    </xf>
    <xf borderId="0" fillId="0" fontId="5" numFmtId="9" xfId="0" applyFont="1" applyNumberFormat="1"/>
    <xf borderId="9" fillId="2" fontId="5" numFmtId="9" xfId="0" applyBorder="1" applyFont="1" applyNumberFormat="1"/>
    <xf borderId="17" fillId="0" fontId="6" numFmtId="0" xfId="0" applyAlignment="1" applyBorder="1" applyFont="1">
      <alignment readingOrder="0"/>
    </xf>
    <xf borderId="18" fillId="0" fontId="6" numFmtId="165" xfId="0" applyBorder="1" applyFont="1" applyNumberFormat="1"/>
    <xf borderId="19" fillId="0" fontId="5" numFmtId="0" xfId="0" applyBorder="1" applyFont="1"/>
    <xf borderId="19" fillId="0" fontId="6" numFmtId="0" xfId="0" applyAlignment="1" applyBorder="1" applyFont="1">
      <alignment readingOrder="0"/>
    </xf>
    <xf borderId="17" fillId="0" fontId="5" numFmtId="0" xfId="0" applyBorder="1" applyFont="1"/>
    <xf borderId="19" fillId="0" fontId="5" numFmtId="165" xfId="0" applyBorder="1" applyFont="1" applyNumberFormat="1"/>
    <xf borderId="20" fillId="2" fontId="5" numFmtId="165" xfId="0" applyBorder="1" applyFont="1" applyNumberFormat="1"/>
    <xf borderId="0" fillId="0" fontId="9" numFmtId="0" xfId="0" applyAlignment="1" applyFont="1">
      <alignment readingOrder="0"/>
    </xf>
    <xf borderId="0" fillId="0" fontId="9" numFmtId="3" xfId="0" applyFont="1" applyNumberFormat="1"/>
    <xf borderId="9" fillId="2" fontId="9" numFmtId="3" xfId="0" applyBorder="1" applyFont="1" applyNumberFormat="1"/>
    <xf borderId="14" fillId="3" fontId="7" numFmtId="9" xfId="0" applyAlignment="1" applyBorder="1" applyFont="1" applyNumberFormat="1">
      <alignment readingOrder="0"/>
    </xf>
    <xf borderId="9" fillId="2" fontId="9" numFmtId="0" xfId="0" applyBorder="1" applyFont="1"/>
    <xf borderId="0" fillId="0" fontId="5" numFmtId="1" xfId="0" applyFont="1" applyNumberFormat="1"/>
    <xf borderId="9" fillId="2" fontId="5" numFmtId="1" xfId="0" applyBorder="1" applyFont="1" applyNumberFormat="1"/>
    <xf borderId="0" fillId="0" fontId="5" numFmtId="3" xfId="0" applyFont="1" applyNumberFormat="1"/>
    <xf borderId="10" fillId="0" fontId="5" numFmtId="1" xfId="0" applyBorder="1" applyFont="1" applyNumberFormat="1"/>
    <xf borderId="0" fillId="4" fontId="10" numFmtId="0" xfId="0" applyAlignment="1" applyFill="1" applyFont="1">
      <alignment readingOrder="0"/>
    </xf>
    <xf borderId="19" fillId="4" fontId="6" numFmtId="165" xfId="0" applyBorder="1" applyFont="1" applyNumberFormat="1"/>
    <xf borderId="20" fillId="5" fontId="11" numFmtId="165" xfId="0" applyBorder="1" applyFill="1" applyFont="1" applyNumberFormat="1"/>
    <xf borderId="17" fillId="4" fontId="4" numFmtId="0" xfId="0" applyAlignment="1" applyBorder="1" applyFont="1">
      <alignment shrinkToFit="0" wrapText="1"/>
    </xf>
    <xf borderId="19" fillId="4" fontId="4" numFmtId="1" xfId="0" applyBorder="1" applyFont="1" applyNumberFormat="1"/>
    <xf borderId="18" fillId="4" fontId="4" numFmtId="1" xfId="0" applyBorder="1" applyFont="1" applyNumberFormat="1"/>
    <xf borderId="21" fillId="2" fontId="12" numFmtId="1" xfId="0" applyBorder="1" applyFont="1" applyNumberFormat="1"/>
    <xf borderId="1" fillId="4" fontId="13" numFmtId="0" xfId="0" applyBorder="1" applyFont="1"/>
    <xf borderId="2" fillId="4" fontId="13" numFmtId="9" xfId="0" applyBorder="1" applyFont="1" applyNumberFormat="1"/>
    <xf borderId="22" fillId="5" fontId="14" numFmtId="9" xfId="0" applyBorder="1" applyFont="1" applyNumberFormat="1"/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86"/>
    <col customWidth="1" min="2" max="2" width="15.29"/>
    <col customWidth="1" min="3" max="3" width="15.86"/>
    <col customWidth="1" min="4" max="4" width="15.43"/>
    <col customWidth="1" min="5" max="5" width="14.29"/>
    <col customWidth="1" min="6" max="6" width="25.71"/>
    <col customWidth="1" min="7" max="7" width="6.29"/>
    <col customWidth="1" min="8" max="8" width="5.57"/>
    <col customWidth="1" min="9" max="9" width="23.14"/>
    <col customWidth="1" min="10" max="10" width="11.0"/>
    <col customWidth="1" min="11" max="11" width="12.71"/>
    <col customWidth="1" min="12" max="12" width="9.86"/>
    <col customWidth="1" min="13" max="13" width="12.29"/>
    <col customWidth="1" min="14" max="15" width="8.43"/>
    <col customWidth="1" min="16" max="16" width="34.29"/>
    <col customWidth="1" min="17" max="17" width="12.14"/>
    <col customWidth="1" min="18" max="29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3">
      <c r="A3" s="4" t="s">
        <v>1</v>
      </c>
      <c r="B3" s="5"/>
      <c r="C3" s="5"/>
      <c r="D3" s="5"/>
      <c r="E3" s="6"/>
      <c r="F3" s="7" t="s">
        <v>2</v>
      </c>
      <c r="I3" s="8" t="s">
        <v>3</v>
      </c>
      <c r="J3" s="5"/>
      <c r="K3" s="5"/>
      <c r="L3" s="5"/>
      <c r="M3" s="6"/>
      <c r="P3" s="8" t="s">
        <v>4</v>
      </c>
      <c r="Q3" s="6"/>
    </row>
    <row r="4">
      <c r="A4" s="9"/>
      <c r="B4" s="10" t="s">
        <v>5</v>
      </c>
      <c r="C4" s="10" t="s">
        <v>6</v>
      </c>
      <c r="D4" s="10" t="s">
        <v>7</v>
      </c>
      <c r="E4" s="10" t="s">
        <v>8</v>
      </c>
      <c r="F4" s="11"/>
      <c r="I4" s="9"/>
      <c r="J4" s="12" t="s">
        <v>9</v>
      </c>
      <c r="K4" s="13" t="s">
        <v>10</v>
      </c>
      <c r="L4" s="13"/>
      <c r="M4" s="14" t="s">
        <v>11</v>
      </c>
      <c r="P4" s="15" t="s">
        <v>12</v>
      </c>
      <c r="Q4" s="14">
        <v>20.0</v>
      </c>
    </row>
    <row r="5">
      <c r="A5" s="9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6"/>
      <c r="I5" s="9" t="s">
        <v>18</v>
      </c>
      <c r="J5" s="17">
        <f>((Q5*Q6)+Q7+Q8)/Q4</f>
        <v>25</v>
      </c>
      <c r="K5" s="17">
        <f>M11/540</f>
        <v>36.85185185</v>
      </c>
      <c r="L5" s="13" t="s">
        <v>19</v>
      </c>
      <c r="M5" s="18">
        <v>4000.0</v>
      </c>
      <c r="P5" s="19" t="s">
        <v>20</v>
      </c>
      <c r="Q5" s="20">
        <v>2.0</v>
      </c>
    </row>
    <row r="6">
      <c r="A6" s="21" t="s">
        <v>21</v>
      </c>
      <c r="B6" s="13">
        <v>8.0</v>
      </c>
      <c r="C6" s="13">
        <v>8.0</v>
      </c>
      <c r="D6" s="13">
        <v>8.0</v>
      </c>
      <c r="E6" s="13">
        <v>8.0</v>
      </c>
      <c r="F6" s="22">
        <f>Q12</f>
        <v>8</v>
      </c>
      <c r="I6" s="9"/>
      <c r="K6" s="23"/>
      <c r="L6" s="13" t="s">
        <v>22</v>
      </c>
      <c r="M6" s="24">
        <v>1000.0</v>
      </c>
      <c r="P6" s="25" t="s">
        <v>23</v>
      </c>
      <c r="Q6" s="26">
        <v>85.0</v>
      </c>
    </row>
    <row r="7">
      <c r="A7" s="21" t="s">
        <v>24</v>
      </c>
      <c r="B7" s="27">
        <v>1.0</v>
      </c>
      <c r="C7" s="27">
        <v>1.0</v>
      </c>
      <c r="D7" s="27">
        <v>1.0</v>
      </c>
      <c r="E7" s="27">
        <v>1.0</v>
      </c>
      <c r="F7" s="28">
        <f>Q11</f>
        <v>1</v>
      </c>
      <c r="I7" s="9"/>
      <c r="L7" s="29" t="s">
        <v>25</v>
      </c>
      <c r="M7" s="24">
        <v>14900.0</v>
      </c>
      <c r="P7" s="25" t="s">
        <v>26</v>
      </c>
      <c r="Q7" s="26">
        <f>1500/5</f>
        <v>300</v>
      </c>
    </row>
    <row r="8">
      <c r="A8" s="21" t="s">
        <v>27</v>
      </c>
      <c r="B8" s="27">
        <v>20.0</v>
      </c>
      <c r="C8" s="27">
        <v>20.0</v>
      </c>
      <c r="D8" s="27">
        <v>20.0</v>
      </c>
      <c r="E8" s="27">
        <v>20.0</v>
      </c>
      <c r="F8" s="30">
        <f>Q15</f>
        <v>25</v>
      </c>
      <c r="I8" s="9"/>
      <c r="L8" s="29" t="s">
        <v>28</v>
      </c>
      <c r="M8" s="24">
        <v>0.0</v>
      </c>
      <c r="P8" s="25" t="s">
        <v>29</v>
      </c>
      <c r="Q8" s="31">
        <v>30.0</v>
      </c>
    </row>
    <row r="9">
      <c r="A9" s="9" t="s">
        <v>30</v>
      </c>
      <c r="B9" s="17">
        <v>50.0</v>
      </c>
      <c r="C9" s="17">
        <v>50.0</v>
      </c>
      <c r="D9" s="17">
        <v>70.0</v>
      </c>
      <c r="E9" s="17">
        <v>70.0</v>
      </c>
      <c r="F9" s="32">
        <f t="shared" ref="F9:F10" si="1">Q13</f>
        <v>45</v>
      </c>
      <c r="I9" s="9"/>
      <c r="L9" s="29" t="s">
        <v>31</v>
      </c>
      <c r="M9" s="24">
        <v>0.0</v>
      </c>
      <c r="P9" s="33"/>
      <c r="Q9" s="34"/>
    </row>
    <row r="10">
      <c r="A10" s="35" t="s">
        <v>32</v>
      </c>
      <c r="B10" s="36">
        <v>0.6</v>
      </c>
      <c r="C10" s="36">
        <v>0.8</v>
      </c>
      <c r="D10" s="36">
        <v>0.6</v>
      </c>
      <c r="E10" s="36">
        <v>0.8</v>
      </c>
      <c r="F10" s="37">
        <f t="shared" si="1"/>
        <v>0.7</v>
      </c>
      <c r="I10" s="9"/>
      <c r="M10" s="18"/>
    </row>
    <row r="11">
      <c r="A11" s="9"/>
      <c r="B11" s="36"/>
      <c r="C11" s="36"/>
      <c r="D11" s="36"/>
      <c r="E11" s="36"/>
      <c r="F11" s="37"/>
      <c r="I11" s="38" t="s">
        <v>33</v>
      </c>
      <c r="J11" s="39">
        <f>(J5+K5)*Q4</f>
        <v>1237.037037</v>
      </c>
      <c r="K11" s="40"/>
      <c r="L11" s="41" t="s">
        <v>34</v>
      </c>
      <c r="M11" s="39">
        <f>sum(M5:M9)</f>
        <v>19900</v>
      </c>
      <c r="P11" s="19" t="s">
        <v>35</v>
      </c>
      <c r="Q11" s="20">
        <v>1.0</v>
      </c>
    </row>
    <row r="12">
      <c r="A12" s="42" t="s">
        <v>36</v>
      </c>
      <c r="B12" s="43">
        <f t="shared" ref="B12:E12" si="2">B6*B9*B10*(1-B11)</f>
        <v>240</v>
      </c>
      <c r="C12" s="43">
        <f t="shared" si="2"/>
        <v>320</v>
      </c>
      <c r="D12" s="43">
        <f t="shared" si="2"/>
        <v>336</v>
      </c>
      <c r="E12" s="43">
        <f t="shared" si="2"/>
        <v>448</v>
      </c>
      <c r="F12" s="44">
        <f>F6*F9*F10*(1-F11)*F7</f>
        <v>252</v>
      </c>
      <c r="P12" s="25" t="s">
        <v>37</v>
      </c>
      <c r="Q12" s="26">
        <v>8.0</v>
      </c>
    </row>
    <row r="13">
      <c r="A13" s="45" t="s">
        <v>38</v>
      </c>
      <c r="B13" s="46">
        <f t="shared" ref="B13:F13" si="3">B8*B12</f>
        <v>4800</v>
      </c>
      <c r="C13" s="46">
        <f t="shared" si="3"/>
        <v>6400</v>
      </c>
      <c r="D13" s="46">
        <f t="shared" si="3"/>
        <v>6720</v>
      </c>
      <c r="E13" s="46">
        <f t="shared" si="3"/>
        <v>8960</v>
      </c>
      <c r="F13" s="47">
        <f t="shared" si="3"/>
        <v>6300</v>
      </c>
      <c r="P13" s="25" t="s">
        <v>39</v>
      </c>
      <c r="Q13" s="26">
        <v>45.0</v>
      </c>
    </row>
    <row r="14">
      <c r="A14" s="45" t="s">
        <v>40</v>
      </c>
      <c r="B14" s="46">
        <f t="shared" ref="B14:F14" si="4">B13*$Q$11</f>
        <v>4800</v>
      </c>
      <c r="C14" s="46">
        <f t="shared" si="4"/>
        <v>6400</v>
      </c>
      <c r="D14" s="46">
        <f t="shared" si="4"/>
        <v>6720</v>
      </c>
      <c r="E14" s="46">
        <f t="shared" si="4"/>
        <v>8960</v>
      </c>
      <c r="F14" s="47">
        <f t="shared" si="4"/>
        <v>6300</v>
      </c>
      <c r="I14" s="8" t="s">
        <v>41</v>
      </c>
      <c r="J14" s="5"/>
      <c r="K14" s="5"/>
      <c r="L14" s="5"/>
      <c r="M14" s="6"/>
      <c r="N14" s="7"/>
      <c r="P14" s="25" t="s">
        <v>42</v>
      </c>
      <c r="Q14" s="48">
        <v>0.7</v>
      </c>
    </row>
    <row r="15">
      <c r="A15" s="45" t="s">
        <v>43</v>
      </c>
      <c r="B15" s="29">
        <f t="shared" ref="B15:F15" si="5">B6*B10</f>
        <v>4.8</v>
      </c>
      <c r="C15" s="29">
        <f t="shared" si="5"/>
        <v>6.4</v>
      </c>
      <c r="D15" s="29">
        <f t="shared" si="5"/>
        <v>4.8</v>
      </c>
      <c r="E15" s="29">
        <f t="shared" si="5"/>
        <v>6.4</v>
      </c>
      <c r="F15" s="49">
        <f t="shared" si="5"/>
        <v>5.6</v>
      </c>
      <c r="I15" s="15" t="s">
        <v>44</v>
      </c>
      <c r="J15" s="50">
        <f t="shared" ref="J15:N15" si="6">$M$11/(B12-$J5-$K5)</f>
        <v>111.7047817</v>
      </c>
      <c r="K15" s="50">
        <f t="shared" si="6"/>
        <v>77.08751793</v>
      </c>
      <c r="L15" s="50">
        <f t="shared" si="6"/>
        <v>72.5884896</v>
      </c>
      <c r="M15" s="50">
        <f t="shared" si="6"/>
        <v>51.53462498</v>
      </c>
      <c r="N15" s="51">
        <f t="shared" si="6"/>
        <v>104.6552396</v>
      </c>
      <c r="P15" s="33" t="s">
        <v>45</v>
      </c>
      <c r="Q15" s="34">
        <v>25.0</v>
      </c>
    </row>
    <row r="16">
      <c r="A16" s="45" t="s">
        <v>46</v>
      </c>
      <c r="B16" s="52">
        <f t="shared" ref="B16:F16" si="7">B15*$Q$4</f>
        <v>96</v>
      </c>
      <c r="C16" s="52">
        <f t="shared" si="7"/>
        <v>128</v>
      </c>
      <c r="D16" s="52">
        <f t="shared" si="7"/>
        <v>96</v>
      </c>
      <c r="E16" s="52">
        <f t="shared" si="7"/>
        <v>128</v>
      </c>
      <c r="F16" s="28">
        <f t="shared" si="7"/>
        <v>112</v>
      </c>
      <c r="I16" s="15" t="s">
        <v>47</v>
      </c>
      <c r="J16" s="50">
        <f t="shared" ref="J16:N16" si="8">(J15/20)*30</f>
        <v>167.5571726</v>
      </c>
      <c r="K16" s="50">
        <f t="shared" si="8"/>
        <v>115.6312769</v>
      </c>
      <c r="L16" s="50">
        <f t="shared" si="8"/>
        <v>108.8827344</v>
      </c>
      <c r="M16" s="53">
        <f t="shared" si="8"/>
        <v>77.30193746</v>
      </c>
      <c r="N16" s="28">
        <f t="shared" si="8"/>
        <v>156.9828594</v>
      </c>
    </row>
    <row r="17" ht="30.0" customHeight="1">
      <c r="A17" s="54" t="s">
        <v>48</v>
      </c>
      <c r="B17" s="55">
        <f t="shared" ref="B17:F17" si="9">B13-$J$11</f>
        <v>3562.962963</v>
      </c>
      <c r="C17" s="55">
        <f t="shared" si="9"/>
        <v>5162.962963</v>
      </c>
      <c r="D17" s="55">
        <f t="shared" si="9"/>
        <v>5482.962963</v>
      </c>
      <c r="E17" s="55">
        <f t="shared" si="9"/>
        <v>7722.962963</v>
      </c>
      <c r="F17" s="56">
        <f t="shared" si="9"/>
        <v>5062.962963</v>
      </c>
      <c r="I17" s="57" t="s">
        <v>49</v>
      </c>
      <c r="J17" s="58">
        <f t="shared" ref="J17:N17" si="10">J16/7</f>
        <v>23.93673894</v>
      </c>
      <c r="K17" s="58">
        <f t="shared" si="10"/>
        <v>16.51875384</v>
      </c>
      <c r="L17" s="58">
        <f t="shared" si="10"/>
        <v>15.55467634</v>
      </c>
      <c r="M17" s="59">
        <f t="shared" si="10"/>
        <v>11.04313392</v>
      </c>
      <c r="N17" s="60">
        <f t="shared" si="10"/>
        <v>22.42612277</v>
      </c>
    </row>
    <row r="18">
      <c r="A18" s="61" t="s">
        <v>50</v>
      </c>
      <c r="B18" s="62">
        <f t="shared" ref="B18:E18" si="11">((B12-$J5)*20*12-$M11)/$M11</f>
        <v>1.592964824</v>
      </c>
      <c r="C18" s="62">
        <f t="shared" si="11"/>
        <v>2.557788945</v>
      </c>
      <c r="D18" s="62">
        <f t="shared" si="11"/>
        <v>2.750753769</v>
      </c>
      <c r="E18" s="62">
        <f t="shared" si="11"/>
        <v>4.101507538</v>
      </c>
      <c r="F18" s="63">
        <f>((F12-($J5*F7))*20*12/F7-$M11)/$M11</f>
        <v>1.737688442</v>
      </c>
    </row>
    <row r="19">
      <c r="D19" s="1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ht="15.75" customHeight="1">
      <c r="A21" s="6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ht="15.75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ht="15.75" customHeight="1">
      <c r="A23" s="64"/>
      <c r="B23" s="64"/>
      <c r="C23" s="64"/>
      <c r="D23" s="64"/>
      <c r="E23" s="64"/>
      <c r="F23" s="64"/>
    </row>
    <row r="24" ht="15.75" customHeight="1">
      <c r="A24" s="64"/>
      <c r="B24" s="64"/>
      <c r="C24" s="64"/>
      <c r="D24" s="64"/>
      <c r="E24" s="64"/>
      <c r="F24" s="64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:E3"/>
    <mergeCell ref="F3:F4"/>
    <mergeCell ref="I3:M3"/>
    <mergeCell ref="P3:Q3"/>
    <mergeCell ref="I14:M14"/>
    <mergeCell ref="A21:C21"/>
    <mergeCell ref="A1:Q1"/>
  </mergeCells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Peti</dc:creator>
</cp:coreProperties>
</file>